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09_Digital, Webmarketing\02. Internet mgas.fr\00. Site public projets PSC\"/>
    </mc:Choice>
  </mc:AlternateContent>
  <xr:revisionPtr revIDLastSave="0" documentId="8_{8E5D137C-B363-4A6B-9E5F-070407673FA6}" xr6:coauthVersionLast="47" xr6:coauthVersionMax="47" xr10:uidLastSave="{00000000-0000-0000-0000-000000000000}"/>
  <bookViews>
    <workbookView xWindow="-108" yWindow="-108" windowWidth="23256" windowHeight="12576" xr2:uid="{3D588EDC-3024-484B-A606-87F6474C7845}"/>
  </bookViews>
  <sheets>
    <sheet name="Simulateur PSC MGAS" sheetId="1" r:id="rId1"/>
    <sheet name="Paramètres de calcu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N6" i="1" s="1"/>
  <c r="Q22" i="2"/>
  <c r="P22" i="2"/>
  <c r="O22" i="2"/>
  <c r="N22" i="2"/>
  <c r="Q14" i="2"/>
  <c r="P14" i="2"/>
  <c r="O14" i="2"/>
  <c r="N14" i="2"/>
  <c r="J21" i="2"/>
  <c r="I21" i="2"/>
  <c r="I25" i="2" s="1"/>
  <c r="H21" i="2"/>
  <c r="H25" i="2" s="1"/>
  <c r="G20" i="2"/>
  <c r="G19" i="2"/>
  <c r="J16" i="2"/>
  <c r="I16" i="2"/>
  <c r="I22" i="2" s="1"/>
  <c r="H16" i="2"/>
  <c r="H22" i="2" s="1"/>
  <c r="G16" i="2"/>
  <c r="G22" i="2" s="1"/>
  <c r="G18" i="2" l="1"/>
  <c r="G25" i="2" s="1"/>
  <c r="J22" i="2"/>
  <c r="J25" i="2" l="1"/>
  <c r="J30" i="2" s="1" a="1"/>
  <c r="J30" i="2" s="1"/>
  <c r="J32" i="2" s="1"/>
  <c r="G26" i="2"/>
  <c r="K26" i="2" s="1"/>
  <c r="G30" i="2" a="1"/>
  <c r="G30" i="2" s="1"/>
  <c r="G31" i="2"/>
  <c r="K31" i="2" s="1"/>
  <c r="N9" i="1" s="1"/>
  <c r="H27" i="2"/>
  <c r="H30" i="2" a="1"/>
  <c r="H30" i="2" s="1"/>
  <c r="H32" i="2" s="1"/>
  <c r="I27" i="2"/>
  <c r="I30" i="2" a="1"/>
  <c r="I30" i="2" s="1"/>
  <c r="I32" i="2" s="1"/>
  <c r="K25" i="2" l="1"/>
  <c r="J27" i="2"/>
  <c r="K27" i="2" s="1"/>
  <c r="G32" i="2"/>
  <c r="K32" i="2" s="1"/>
  <c r="N10" i="1" s="1"/>
  <c r="K30" i="2"/>
  <c r="N7" i="1" s="1"/>
  <c r="N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<sst xmlns="http://schemas.openxmlformats.org/spreadsheetml/2006/main" count="81" uniqueCount="46">
  <si>
    <t xml:space="preserve">Rémunération Brute Mensuelle : </t>
  </si>
  <si>
    <t xml:space="preserve">Conjoint : </t>
  </si>
  <si>
    <t xml:space="preserve">Enfant(s) -21 ans : </t>
  </si>
  <si>
    <t xml:space="preserve">Enfant(s) +21 ans : </t>
  </si>
  <si>
    <t>PMSS</t>
  </si>
  <si>
    <t>PASS</t>
  </si>
  <si>
    <t>Liste Enfants</t>
  </si>
  <si>
    <t>BASE seule</t>
  </si>
  <si>
    <t>% part solidaire</t>
  </si>
  <si>
    <r>
      <t xml:space="preserve">Cotisation totale </t>
    </r>
    <r>
      <rPr>
        <i/>
        <sz val="11"/>
        <rFont val="Calibri"/>
        <family val="2"/>
      </rPr>
      <t xml:space="preserve">d'équilibre </t>
    </r>
  </si>
  <si>
    <t>*issue de la tarification</t>
  </si>
  <si>
    <t>Taux employeur sur cotisation d'équilibre moyenne</t>
  </si>
  <si>
    <t>Taux part individuelle sur cotisation d'équilibre moyenne</t>
  </si>
  <si>
    <t>Taxes d'assurance</t>
  </si>
  <si>
    <t>Frais de gestion assureur</t>
  </si>
  <si>
    <t xml:space="preserve">Part employeur </t>
  </si>
  <si>
    <t>Cotisation de l'agent précomptée sur le traitement</t>
  </si>
  <si>
    <t>Part agent</t>
  </si>
  <si>
    <t>Part individuelle =&gt; 20% de la cotisation d’équilibre</t>
  </si>
  <si>
    <t>Part individuelle solidaire</t>
  </si>
  <si>
    <t xml:space="preserve">Fonds sociaux </t>
  </si>
  <si>
    <t>dont précompté sur votre traitement</t>
  </si>
  <si>
    <t>dont prélevé sur vous compte bancaire</t>
  </si>
  <si>
    <t>Salarié</t>
  </si>
  <si>
    <t>Conjoint d'actif</t>
  </si>
  <si>
    <t>Enfant &lt; 21</t>
  </si>
  <si>
    <t>Enfant &gt; =21</t>
  </si>
  <si>
    <t>Cotisation des bénéficiaires et de l'option prélevée sur le compte bancaire</t>
  </si>
  <si>
    <t>Bénéficiaires</t>
  </si>
  <si>
    <t>Gratuité à partir du 3ème enfant de moins de 21 ans.</t>
  </si>
  <si>
    <t>Participation</t>
  </si>
  <si>
    <t>Fonds d'aide aux retraités et accompagnement Social</t>
  </si>
  <si>
    <t>TOTAL</t>
  </si>
  <si>
    <t>Part Employeur</t>
  </si>
  <si>
    <t>Part Agent</t>
  </si>
  <si>
    <t>Précompté sur Traitement</t>
  </si>
  <si>
    <t>Prélevé sur votre compte bancaire</t>
  </si>
  <si>
    <t xml:space="preserve">Choix de l'option : </t>
  </si>
  <si>
    <t>Sans option</t>
  </si>
  <si>
    <t>Option 1</t>
  </si>
  <si>
    <t>Option 2</t>
  </si>
  <si>
    <t>Estimation du coût total à charge de l'agent avec éventuelles options</t>
  </si>
  <si>
    <t>Cotisation Totale</t>
  </si>
  <si>
    <t>Indications non contractuelle….(disclamer à rédiger)</t>
  </si>
  <si>
    <t>Estimation du coût total de la base à charge de l'agent</t>
  </si>
  <si>
    <t>Liste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</si>
</sst>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#,##0.00\ &quot;€&quot;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3A7AF"/>
        <bgColor indexed="64"/>
      </patternFill>
    </fill>
    <fill>
      <patternFill patternType="solid">
        <fgColor rgb="FFDADFE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2" tint="-0.14999847407452621"/>
        <bgColor rgb="FFFBE4D5"/>
      </patternFill>
    </fill>
    <fill>
      <patternFill patternType="solid">
        <fgColor theme="4" tint="0.59999389629810485"/>
        <bgColor rgb="FFD0CECE"/>
      </patternFill>
    </fill>
    <fill>
      <patternFill patternType="solid">
        <fgColor rgb="FFFF0000"/>
        <bgColor rgb="FFD0CECE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/>
    <xf numFmtId="0" fontId="0" fillId="4" borderId="0" xfId="0" applyFill="1"/>
    <xf numFmtId="0" fontId="1" fillId="4" borderId="0" xfId="0" applyFont="1" applyFill="1" applyAlignment="1">
      <alignment horizontal="right"/>
    </xf>
    <xf numFmtId="164" fontId="3" fillId="4" borderId="2" xfId="1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 readingOrder="1"/>
    </xf>
    <xf numFmtId="44" fontId="4" fillId="7" borderId="4" xfId="1" applyFont="1" applyFill="1" applyBorder="1" applyAlignment="1">
      <alignment horizontal="center" vertical="center" wrapText="1" readingOrder="1"/>
    </xf>
    <xf numFmtId="44" fontId="4" fillId="8" borderId="7" xfId="1" applyFont="1" applyFill="1" applyBorder="1" applyAlignment="1">
      <alignment horizontal="center" vertical="center" wrapText="1" readingOrder="1"/>
    </xf>
    <xf numFmtId="44" fontId="4" fillId="8" borderId="8" xfId="1" applyFont="1" applyFill="1" applyBorder="1" applyAlignment="1">
      <alignment horizontal="center" vertical="center" wrapText="1" readingOrder="1"/>
    </xf>
    <xf numFmtId="0" fontId="8" fillId="10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10" fontId="3" fillId="4" borderId="5" xfId="0" applyNumberFormat="1" applyFont="1" applyFill="1" applyBorder="1" applyAlignment="1">
      <alignment horizontal="center" vertical="center" wrapText="1"/>
    </xf>
    <xf numFmtId="44" fontId="3" fillId="4" borderId="4" xfId="1" applyFont="1" applyFill="1" applyBorder="1" applyAlignment="1">
      <alignment horizontal="center" vertical="center" wrapText="1"/>
    </xf>
    <xf numFmtId="9" fontId="3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8" borderId="15" xfId="0" applyFont="1" applyFill="1" applyBorder="1" applyAlignment="1">
      <alignment horizontal="center" vertical="center" wrapText="1" readingOrder="1"/>
    </xf>
    <xf numFmtId="0" fontId="7" fillId="9" borderId="3" xfId="0" applyFont="1" applyFill="1" applyBorder="1" applyAlignment="1">
      <alignment horizontal="center" vertical="center" wrapText="1" readingOrder="1"/>
    </xf>
    <xf numFmtId="0" fontId="7" fillId="9" borderId="16" xfId="0" applyFont="1" applyFill="1" applyBorder="1" applyAlignment="1">
      <alignment horizontal="center" vertical="center" wrapText="1" readingOrder="1"/>
    </xf>
    <xf numFmtId="0" fontId="7" fillId="4" borderId="17" xfId="0" applyFont="1" applyFill="1" applyBorder="1" applyAlignment="1">
      <alignment horizontal="center" vertical="center" wrapText="1" readingOrder="1"/>
    </xf>
    <xf numFmtId="0" fontId="7" fillId="4" borderId="10" xfId="0" applyFont="1" applyFill="1" applyBorder="1" applyAlignment="1">
      <alignment horizontal="center" vertical="center" wrapText="1" readingOrder="1"/>
    </xf>
    <xf numFmtId="0" fontId="0" fillId="0" borderId="21" xfId="0" applyBorder="1"/>
    <xf numFmtId="165" fontId="3" fillId="4" borderId="4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165" fontId="4" fillId="8" borderId="7" xfId="1" applyNumberFormat="1" applyFont="1" applyFill="1" applyBorder="1" applyAlignment="1">
      <alignment horizontal="center" vertical="center" wrapText="1" readingOrder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2" borderId="0" xfId="0" applyNumberFormat="1" applyFont="1" applyFill="1"/>
    <xf numFmtId="0" fontId="1" fillId="0" borderId="0" xfId="0" applyFont="1" applyAlignment="1">
      <alignment vertical="center" wrapText="1"/>
    </xf>
    <xf numFmtId="165" fontId="3" fillId="4" borderId="25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6" xfId="0" applyBorder="1" applyAlignment="1">
      <alignment horizontal="center" wrapText="1"/>
    </xf>
    <xf numFmtId="165" fontId="3" fillId="4" borderId="27" xfId="0" applyNumberFormat="1" applyFont="1" applyFill="1" applyBorder="1" applyAlignment="1">
      <alignment horizontal="center" vertical="center" wrapText="1"/>
    </xf>
    <xf numFmtId="165" fontId="3" fillId="4" borderId="28" xfId="0" applyNumberFormat="1" applyFont="1" applyFill="1" applyBorder="1" applyAlignment="1">
      <alignment horizontal="center" vertical="center" wrapText="1"/>
    </xf>
    <xf numFmtId="165" fontId="3" fillId="4" borderId="29" xfId="0" applyNumberFormat="1" applyFont="1" applyFill="1" applyBorder="1" applyAlignment="1">
      <alignment horizontal="center" vertical="center" wrapText="1"/>
    </xf>
    <xf numFmtId="165" fontId="3" fillId="4" borderId="31" xfId="0" applyNumberFormat="1" applyFont="1" applyFill="1" applyBorder="1" applyAlignment="1">
      <alignment horizontal="center" vertical="center" wrapText="1"/>
    </xf>
    <xf numFmtId="165" fontId="3" fillId="4" borderId="30" xfId="0" applyNumberFormat="1" applyFont="1" applyFill="1" applyBorder="1" applyAlignment="1">
      <alignment horizontal="center" vertical="center" wrapText="1"/>
    </xf>
    <xf numFmtId="165" fontId="3" fillId="4" borderId="33" xfId="0" applyNumberFormat="1" applyFont="1" applyFill="1" applyBorder="1" applyAlignment="1">
      <alignment horizontal="center" vertical="center" wrapText="1"/>
    </xf>
    <xf numFmtId="165" fontId="3" fillId="4" borderId="32" xfId="0" applyNumberFormat="1" applyFont="1" applyFill="1" applyBorder="1" applyAlignment="1">
      <alignment horizontal="center" vertical="center" wrapText="1"/>
    </xf>
    <xf numFmtId="165" fontId="3" fillId="4" borderId="35" xfId="0" applyNumberFormat="1" applyFont="1" applyFill="1" applyBorder="1" applyAlignment="1">
      <alignment horizontal="center" vertical="center" wrapText="1"/>
    </xf>
    <xf numFmtId="165" fontId="3" fillId="4" borderId="34" xfId="0" applyNumberFormat="1" applyFont="1" applyFill="1" applyBorder="1" applyAlignment="1">
      <alignment horizontal="center" vertical="center" wrapText="1"/>
    </xf>
    <xf numFmtId="165" fontId="4" fillId="8" borderId="30" xfId="1" applyNumberFormat="1" applyFont="1" applyFill="1" applyBorder="1" applyAlignment="1">
      <alignment horizontal="center" vertical="center" wrapText="1" readingOrder="1"/>
    </xf>
    <xf numFmtId="0" fontId="4" fillId="8" borderId="36" xfId="0" applyFont="1" applyFill="1" applyBorder="1" applyAlignment="1">
      <alignment horizontal="center" vertical="center" wrapText="1" readingOrder="1"/>
    </xf>
    <xf numFmtId="0" fontId="0" fillId="0" borderId="37" xfId="0" applyBorder="1"/>
    <xf numFmtId="0" fontId="4" fillId="8" borderId="38" xfId="0" applyFont="1" applyFill="1" applyBorder="1" applyAlignment="1">
      <alignment horizontal="center" vertical="center" wrapText="1" readingOrder="1"/>
    </xf>
    <xf numFmtId="44" fontId="0" fillId="0" borderId="0" xfId="0" quotePrefix="1" applyNumberForma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0" fillId="3" borderId="0" xfId="0" applyFill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</cellXfs>
  <cellStyles count="5">
    <cellStyle name="Milliers 2" xfId="2" xr:uid="{24AB762F-DEE2-4913-A58A-3A0A5E0CFD2E}"/>
    <cellStyle name="Monétaire" xfId="1" builtinId="4"/>
    <cellStyle name="Monétaire 2" xfId="3" xr:uid="{AEB206FA-195D-4C6D-B352-40075DED613F}"/>
    <cellStyle name="Normal" xfId="0" builtinId="0"/>
    <cellStyle name="Normal 3" xfId="4" xr:uid="{65B69FEC-72F5-4D33-BBE4-42A8CFED56C8}"/>
  </cellStyles>
  <dxfs count="0"/>
  <tableStyles count="0" defaultTableStyle="TableStyleMedium2" defaultPivotStyle="PivotStyleLight16"/>
  <colors>
    <mruColors>
      <color rgb="FF03A7AF"/>
      <color rgb="FFDAD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21492</xdr:colOff>
      <xdr:row>10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EAC7A4C-4264-442D-9E15-234D9CFA4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4494432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8</xdr:col>
      <xdr:colOff>19050</xdr:colOff>
      <xdr:row>33</xdr:row>
      <xdr:rowOff>55573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54FEA9B-A404-1C1E-4FD4-143A1F465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00500"/>
          <a:ext cx="6115050" cy="2353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2C22-12E4-437D-A7EC-404911C3BED6}">
  <dimension ref="A1:Z55"/>
  <sheetViews>
    <sheetView tabSelected="1" zoomScale="85" zoomScaleNormal="85" workbookViewId="0">
      <selection activeCell="Q30" sqref="Q30"/>
    </sheetView>
  </sheetViews>
  <sheetFormatPr baseColWidth="10" defaultRowHeight="14.4" x14ac:dyDescent="0.3"/>
  <sheetData>
    <row r="1" spans="1:2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A4" s="1"/>
      <c r="B4" s="1"/>
      <c r="C4" s="1"/>
      <c r="D4" s="1"/>
      <c r="E4" s="1"/>
      <c r="F4" s="1"/>
      <c r="G4" s="1"/>
      <c r="H4" s="1"/>
      <c r="I4" s="1"/>
      <c r="J4" s="56" t="s">
        <v>42</v>
      </c>
      <c r="K4" s="56"/>
      <c r="L4" s="56"/>
      <c r="M4" s="56"/>
      <c r="N4" s="35">
        <f>N6+N7</f>
        <v>88.558000000000007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A6" s="1"/>
      <c r="B6" s="1"/>
      <c r="C6" s="1"/>
      <c r="D6" s="1"/>
      <c r="E6" s="1"/>
      <c r="F6" s="1"/>
      <c r="G6" s="1"/>
      <c r="H6" s="1"/>
      <c r="I6" s="1"/>
      <c r="J6" s="56" t="s">
        <v>33</v>
      </c>
      <c r="K6" s="56"/>
      <c r="L6" s="56"/>
      <c r="M6" s="56"/>
      <c r="N6" s="35">
        <f>'Paramètres de calcul'!G17</f>
        <v>22.645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">
      <c r="A7" s="1"/>
      <c r="B7" s="1"/>
      <c r="C7" s="1"/>
      <c r="D7" s="1"/>
      <c r="E7" s="1"/>
      <c r="F7" s="1"/>
      <c r="G7" s="1"/>
      <c r="H7" s="1"/>
      <c r="I7" s="1"/>
      <c r="J7" s="56" t="s">
        <v>34</v>
      </c>
      <c r="K7" s="56"/>
      <c r="L7" s="56"/>
      <c r="M7" s="56"/>
      <c r="N7" s="35">
        <f>'Paramètres de calcul'!K30</f>
        <v>65.913000000000011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">
      <c r="A9" s="1"/>
      <c r="B9" s="1"/>
      <c r="C9" s="1"/>
      <c r="D9" s="1"/>
      <c r="E9" s="1"/>
      <c r="F9" s="1"/>
      <c r="G9" s="1"/>
      <c r="H9" s="1"/>
      <c r="I9" s="1"/>
      <c r="J9" s="56" t="s">
        <v>35</v>
      </c>
      <c r="K9" s="56"/>
      <c r="L9" s="56"/>
      <c r="M9" s="56"/>
      <c r="N9" s="35">
        <f>'Paramètres de calcul'!K31</f>
        <v>65.913000000000011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">
      <c r="A10" s="1"/>
      <c r="B10" s="1"/>
      <c r="C10" s="1"/>
      <c r="D10" s="1"/>
      <c r="E10" s="1"/>
      <c r="F10" s="1"/>
      <c r="G10" s="1"/>
      <c r="H10" s="1"/>
      <c r="I10" s="1"/>
      <c r="J10" s="56" t="s">
        <v>36</v>
      </c>
      <c r="K10" s="56"/>
      <c r="L10" s="56"/>
      <c r="M10" s="56"/>
      <c r="N10" s="35">
        <f>'Paramètres de calcul'!K32</f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">
      <c r="A12" s="1"/>
      <c r="B12" s="58" t="s">
        <v>0</v>
      </c>
      <c r="C12" s="58"/>
      <c r="D12" s="58"/>
      <c r="E12" s="8">
        <v>3000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">
      <c r="A14" s="1"/>
      <c r="B14" s="58" t="s">
        <v>1</v>
      </c>
      <c r="C14" s="58"/>
      <c r="D14" s="58"/>
      <c r="E14" s="8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">
      <c r="A15" s="1"/>
      <c r="B15" s="58" t="s">
        <v>2</v>
      </c>
      <c r="C15" s="58"/>
      <c r="D15" s="58"/>
      <c r="E15" s="8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">
      <c r="A16" s="1"/>
      <c r="B16" s="58" t="s">
        <v>3</v>
      </c>
      <c r="C16" s="58"/>
      <c r="D16" s="58"/>
      <c r="E16" s="8"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">
      <c r="A18" s="1"/>
      <c r="B18" s="58" t="s">
        <v>37</v>
      </c>
      <c r="C18" s="58"/>
      <c r="D18" s="58"/>
      <c r="E18" s="54" t="s">
        <v>38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">
      <c r="A22" s="1"/>
      <c r="B22" s="1"/>
      <c r="C22" s="1"/>
      <c r="D22" s="1"/>
      <c r="E22" s="1"/>
      <c r="F22" s="1"/>
      <c r="G22" s="1"/>
      <c r="H22" s="1"/>
      <c r="I22" s="1"/>
      <c r="J22" s="57" t="s">
        <v>43</v>
      </c>
      <c r="K22" s="57"/>
      <c r="L22" s="57"/>
      <c r="M22" s="57"/>
      <c r="N22" s="57"/>
      <c r="O22" s="57"/>
      <c r="P22" s="57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1"/>
      <c r="B23" s="1"/>
      <c r="C23" s="1"/>
      <c r="D23" s="1"/>
      <c r="E23" s="1"/>
      <c r="F23" s="1"/>
      <c r="G23" s="1"/>
      <c r="H23" s="1"/>
      <c r="I23" s="1"/>
      <c r="J23" s="57"/>
      <c r="K23" s="57"/>
      <c r="L23" s="57"/>
      <c r="M23" s="57"/>
      <c r="N23" s="57"/>
      <c r="O23" s="57"/>
      <c r="P23" s="57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">
      <c r="A24" s="1"/>
      <c r="B24" s="1"/>
      <c r="C24" s="1"/>
      <c r="D24" s="1"/>
      <c r="E24" s="1"/>
      <c r="F24" s="1"/>
      <c r="G24" s="1"/>
      <c r="H24" s="1"/>
      <c r="I24" s="1"/>
      <c r="J24" s="57"/>
      <c r="K24" s="57"/>
      <c r="L24" s="57"/>
      <c r="M24" s="57"/>
      <c r="N24" s="57"/>
      <c r="O24" s="57"/>
      <c r="P24" s="57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">
      <c r="A25" s="1"/>
      <c r="B25" s="1"/>
      <c r="C25" s="1"/>
      <c r="D25" s="1"/>
      <c r="E25" s="1"/>
      <c r="F25" s="1"/>
      <c r="G25" s="1"/>
      <c r="H25" s="1"/>
      <c r="I25" s="1"/>
      <c r="J25" s="57"/>
      <c r="K25" s="57"/>
      <c r="L25" s="57"/>
      <c r="M25" s="57"/>
      <c r="N25" s="57"/>
      <c r="O25" s="57"/>
      <c r="P25" s="57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">
      <c r="A26" s="1"/>
      <c r="B26" s="1"/>
      <c r="C26" s="1"/>
      <c r="D26" s="1"/>
      <c r="E26" s="1"/>
      <c r="F26" s="1"/>
      <c r="G26" s="1"/>
      <c r="H26" s="1"/>
      <c r="I26" s="1"/>
      <c r="J26" s="57"/>
      <c r="K26" s="57"/>
      <c r="L26" s="57"/>
      <c r="M26" s="57"/>
      <c r="N26" s="57"/>
      <c r="O26" s="57"/>
      <c r="P26" s="5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A27" s="1"/>
      <c r="B27" s="1"/>
      <c r="C27" s="1"/>
      <c r="D27" s="1"/>
      <c r="E27" s="1"/>
      <c r="F27" s="1"/>
      <c r="G27" s="1"/>
      <c r="H27" s="1"/>
      <c r="I27" s="1"/>
      <c r="J27" s="57"/>
      <c r="K27" s="57"/>
      <c r="L27" s="57"/>
      <c r="M27" s="57"/>
      <c r="N27" s="57"/>
      <c r="O27" s="57"/>
      <c r="P27" s="57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">
      <c r="A28" s="1"/>
      <c r="B28" s="1"/>
      <c r="C28" s="1"/>
      <c r="D28" s="1"/>
      <c r="E28" s="1"/>
      <c r="F28" s="1"/>
      <c r="G28" s="1"/>
      <c r="H28" s="1"/>
      <c r="I28" s="1"/>
      <c r="J28" s="57"/>
      <c r="K28" s="57"/>
      <c r="L28" s="57"/>
      <c r="M28" s="57"/>
      <c r="N28" s="57"/>
      <c r="O28" s="57"/>
      <c r="P28" s="57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">
      <c r="A29" s="1"/>
      <c r="B29" s="1"/>
      <c r="C29" s="1"/>
      <c r="D29" s="1"/>
      <c r="E29" s="1"/>
      <c r="F29" s="1"/>
      <c r="G29" s="1"/>
      <c r="H29" s="1"/>
      <c r="I29" s="1"/>
      <c r="J29" s="57"/>
      <c r="K29" s="57"/>
      <c r="L29" s="57"/>
      <c r="M29" s="57"/>
      <c r="N29" s="57"/>
      <c r="O29" s="57"/>
      <c r="P29" s="57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">
      <c r="A30" s="1"/>
      <c r="B30" s="1"/>
      <c r="C30" s="1"/>
      <c r="D30" s="1"/>
      <c r="E30" s="1"/>
      <c r="F30" s="1"/>
      <c r="G30" s="1"/>
      <c r="H30" s="1"/>
      <c r="I30" s="1"/>
      <c r="J30" s="57"/>
      <c r="K30" s="57"/>
      <c r="L30" s="57"/>
      <c r="M30" s="57"/>
      <c r="N30" s="57"/>
      <c r="O30" s="57"/>
      <c r="P30" s="5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">
      <c r="A31" s="1"/>
      <c r="B31" s="1"/>
      <c r="C31" s="1"/>
      <c r="D31" s="1"/>
      <c r="E31" s="1"/>
      <c r="F31" s="1"/>
      <c r="G31" s="1"/>
      <c r="H31" s="1"/>
      <c r="I31" s="1"/>
      <c r="J31" s="57"/>
      <c r="K31" s="57"/>
      <c r="L31" s="57"/>
      <c r="M31" s="57"/>
      <c r="N31" s="57"/>
      <c r="O31" s="57"/>
      <c r="P31" s="57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">
      <c r="A32" s="1"/>
      <c r="B32" s="1"/>
      <c r="C32" s="1"/>
      <c r="D32" s="1"/>
      <c r="E32" s="1"/>
      <c r="F32" s="1"/>
      <c r="G32" s="1"/>
      <c r="H32" s="1"/>
      <c r="I32" s="1"/>
      <c r="J32" s="57"/>
      <c r="K32" s="57"/>
      <c r="L32" s="57"/>
      <c r="M32" s="57"/>
      <c r="N32" s="57"/>
      <c r="O32" s="57"/>
      <c r="P32" s="5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">
      <c r="A33" s="1"/>
      <c r="B33" s="1"/>
      <c r="C33" s="1"/>
      <c r="D33" s="1"/>
      <c r="E33" s="1"/>
      <c r="F33" s="1"/>
      <c r="G33" s="1"/>
      <c r="H33" s="1"/>
      <c r="I33" s="1"/>
      <c r="J33" s="57"/>
      <c r="K33" s="57"/>
      <c r="L33" s="57"/>
      <c r="M33" s="57"/>
      <c r="N33" s="57"/>
      <c r="O33" s="57"/>
      <c r="P33" s="5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</sheetData>
  <mergeCells count="11">
    <mergeCell ref="J22:P33"/>
    <mergeCell ref="B18:D18"/>
    <mergeCell ref="B12:D12"/>
    <mergeCell ref="B14:D14"/>
    <mergeCell ref="B15:D15"/>
    <mergeCell ref="B16:D16"/>
    <mergeCell ref="J4:M4"/>
    <mergeCell ref="J6:M6"/>
    <mergeCell ref="J7:M7"/>
    <mergeCell ref="J9:M9"/>
    <mergeCell ref="J10:M1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D6F779D4-D64D-4124-B2FE-963AA5F8F2A5}">
          <x14:formula1>
            <xm:f>'Paramètres de calcul'!$C$2:$C$11</xm:f>
          </x14:formula1>
          <xm:sqref>E15:E16</xm:sqref>
        </x14:dataValidation>
        <x14:dataValidation type="list" allowBlank="1" showInputMessage="1" showErrorMessage="1" xr:uid="{3A01E3C9-948A-4EFE-BA35-CF9EAEB97D80}">
          <x14:formula1>
            <xm:f>'Paramètres de calcul'!$C$2:$C$3</xm:f>
          </x14:formula1>
          <xm:sqref>E14</xm:sqref>
        </x14:dataValidation>
        <x14:dataValidation type="list" allowBlank="1" showInputMessage="1" showErrorMessage="1" xr:uid="{8EFDE8DE-5B02-4F2C-BD8A-609D2DA80808}">
          <x14:formula1>
            <xm:f>'Paramètres de calcul'!$D$2:$D$4</xm:f>
          </x14:formula1>
          <xm:sqref>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95F0-9B49-4652-8244-114369D9CDBA}">
  <dimension ref="A1:R36"/>
  <sheetViews>
    <sheetView topLeftCell="B1" zoomScale="65" workbookViewId="0">
      <selection activeCell="K30" sqref="K30"/>
    </sheetView>
  </sheetViews>
  <sheetFormatPr baseColWidth="10" defaultRowHeight="14.4" x14ac:dyDescent="0.3"/>
  <cols>
    <col min="2" max="2" width="52.6640625" bestFit="1" customWidth="1"/>
    <col min="6" max="6" width="34.6640625" customWidth="1"/>
    <col min="11" max="11" width="15.33203125" customWidth="1"/>
    <col min="13" max="13" width="32.5546875" customWidth="1"/>
    <col min="14" max="14" width="14.33203125" bestFit="1" customWidth="1"/>
    <col min="18" max="18" width="16.5546875" customWidth="1"/>
  </cols>
  <sheetData>
    <row r="1" spans="1:18" x14ac:dyDescent="0.3">
      <c r="A1" s="2" t="s">
        <v>4</v>
      </c>
      <c r="B1" s="2" t="s">
        <v>5</v>
      </c>
      <c r="C1" s="3" t="s">
        <v>6</v>
      </c>
      <c r="D1" s="55" t="s">
        <v>45</v>
      </c>
    </row>
    <row r="2" spans="1:18" ht="15" thickBot="1" x14ac:dyDescent="0.35">
      <c r="A2" s="4">
        <v>3666</v>
      </c>
      <c r="B2" s="4">
        <v>43992</v>
      </c>
      <c r="C2" s="2">
        <v>0</v>
      </c>
      <c r="D2" s="2" t="s">
        <v>38</v>
      </c>
    </row>
    <row r="3" spans="1:18" x14ac:dyDescent="0.3">
      <c r="B3" s="2"/>
      <c r="C3" s="2">
        <v>1</v>
      </c>
      <c r="D3" s="2" t="s">
        <v>39</v>
      </c>
    </row>
    <row r="4" spans="1:18" x14ac:dyDescent="0.3">
      <c r="B4" s="2"/>
      <c r="C4" s="2">
        <v>2</v>
      </c>
      <c r="D4" s="2" t="s">
        <v>40</v>
      </c>
    </row>
    <row r="5" spans="1:18" x14ac:dyDescent="0.3">
      <c r="B5" s="2"/>
      <c r="C5" s="5">
        <v>3</v>
      </c>
    </row>
    <row r="6" spans="1:18" x14ac:dyDescent="0.3">
      <c r="A6" s="6"/>
      <c r="B6" s="5"/>
      <c r="C6" s="5">
        <v>4</v>
      </c>
    </row>
    <row r="7" spans="1:18" x14ac:dyDescent="0.3">
      <c r="A7" s="7"/>
      <c r="B7" s="5"/>
      <c r="C7" s="5">
        <v>5</v>
      </c>
    </row>
    <row r="8" spans="1:18" ht="14.4" customHeight="1" x14ac:dyDescent="0.3">
      <c r="A8" s="6"/>
      <c r="B8" s="5"/>
      <c r="C8" s="5">
        <v>6</v>
      </c>
      <c r="D8" s="15"/>
      <c r="F8" s="63" t="s">
        <v>7</v>
      </c>
      <c r="G8" s="70" t="s">
        <v>23</v>
      </c>
      <c r="H8" s="74" t="s">
        <v>24</v>
      </c>
      <c r="I8" s="74" t="s">
        <v>25</v>
      </c>
      <c r="J8" s="76" t="s">
        <v>26</v>
      </c>
      <c r="M8" s="63" t="s">
        <v>39</v>
      </c>
      <c r="N8" s="70" t="s">
        <v>23</v>
      </c>
      <c r="O8" s="72" t="s">
        <v>24</v>
      </c>
      <c r="P8" s="74" t="s">
        <v>25</v>
      </c>
      <c r="Q8" s="76" t="s">
        <v>26</v>
      </c>
    </row>
    <row r="9" spans="1:18" ht="14.4" customHeight="1" x14ac:dyDescent="0.3">
      <c r="A9" s="6"/>
      <c r="B9" s="5"/>
      <c r="C9" s="5">
        <v>7</v>
      </c>
      <c r="D9" s="15"/>
      <c r="F9" s="63"/>
      <c r="G9" s="71"/>
      <c r="H9" s="75"/>
      <c r="I9" s="75"/>
      <c r="J9" s="77"/>
      <c r="M9" s="63"/>
      <c r="N9" s="71"/>
      <c r="O9" s="73"/>
      <c r="P9" s="75"/>
      <c r="Q9" s="77"/>
    </row>
    <row r="10" spans="1:18" ht="28.8" x14ac:dyDescent="0.3">
      <c r="A10" s="6"/>
      <c r="B10" s="5"/>
      <c r="C10" s="5">
        <v>8</v>
      </c>
      <c r="D10" s="15"/>
      <c r="F10" s="17" t="s">
        <v>8</v>
      </c>
      <c r="G10" s="18">
        <v>6.4999999999999997E-3</v>
      </c>
      <c r="H10" s="18"/>
      <c r="I10" s="18"/>
      <c r="J10" s="18"/>
      <c r="M10" s="22" t="s">
        <v>9</v>
      </c>
      <c r="N10" s="19">
        <v>13.45</v>
      </c>
      <c r="O10" s="19">
        <v>15.13</v>
      </c>
      <c r="P10" s="19">
        <v>9.0500000000000007</v>
      </c>
      <c r="Q10" s="19">
        <v>8.76</v>
      </c>
      <c r="R10" s="15" t="s">
        <v>10</v>
      </c>
    </row>
    <row r="11" spans="1:18" ht="28.8" x14ac:dyDescent="0.3">
      <c r="A11" s="6"/>
      <c r="B11" s="5"/>
      <c r="C11" s="5">
        <v>9</v>
      </c>
      <c r="D11" s="15"/>
      <c r="F11" s="22" t="s">
        <v>9</v>
      </c>
      <c r="G11" s="19">
        <v>45.29</v>
      </c>
      <c r="H11" s="19">
        <v>42.87</v>
      </c>
      <c r="I11" s="19">
        <v>25.74</v>
      </c>
      <c r="J11" s="19">
        <v>24.28</v>
      </c>
      <c r="K11" s="15" t="s">
        <v>10</v>
      </c>
      <c r="M11" s="9" t="s">
        <v>13</v>
      </c>
      <c r="N11" s="30">
        <v>2.15</v>
      </c>
      <c r="O11" s="30">
        <v>2.42</v>
      </c>
      <c r="P11" s="30">
        <v>1.45</v>
      </c>
      <c r="Q11" s="30">
        <v>1.4</v>
      </c>
      <c r="R11" s="15" t="s">
        <v>10</v>
      </c>
    </row>
    <row r="12" spans="1:18" ht="28.8" x14ac:dyDescent="0.3">
      <c r="D12" s="15"/>
      <c r="F12" s="9" t="s">
        <v>11</v>
      </c>
      <c r="G12" s="20">
        <v>0.5</v>
      </c>
      <c r="H12" s="20"/>
      <c r="I12" s="20"/>
      <c r="J12" s="20"/>
      <c r="M12" s="9" t="s">
        <v>14</v>
      </c>
      <c r="N12" s="30">
        <v>1.83</v>
      </c>
      <c r="O12" s="30">
        <v>2.06</v>
      </c>
      <c r="P12" s="30">
        <v>1.23</v>
      </c>
      <c r="Q12" s="30">
        <v>1.19</v>
      </c>
      <c r="R12" s="15" t="s">
        <v>10</v>
      </c>
    </row>
    <row r="13" spans="1:18" ht="29.4" thickBot="1" x14ac:dyDescent="0.35">
      <c r="D13" s="15"/>
      <c r="F13" s="9" t="s">
        <v>12</v>
      </c>
      <c r="G13" s="20">
        <v>0.2</v>
      </c>
      <c r="H13" s="20"/>
      <c r="I13" s="20"/>
      <c r="J13" s="20"/>
      <c r="M13" s="9" t="s">
        <v>31</v>
      </c>
      <c r="N13" s="30"/>
      <c r="O13" s="30"/>
      <c r="P13" s="30"/>
      <c r="Q13" s="30"/>
    </row>
    <row r="14" spans="1:18" ht="43.8" thickBot="1" x14ac:dyDescent="0.35">
      <c r="D14" s="15"/>
      <c r="F14" s="9" t="s">
        <v>13</v>
      </c>
      <c r="G14" s="30">
        <v>7.24</v>
      </c>
      <c r="H14" s="30">
        <v>6.85</v>
      </c>
      <c r="I14" s="30">
        <v>3.62</v>
      </c>
      <c r="J14" s="30">
        <v>3.42</v>
      </c>
      <c r="K14" s="15" t="s">
        <v>10</v>
      </c>
      <c r="L14" s="51"/>
      <c r="M14" s="50" t="s">
        <v>17</v>
      </c>
      <c r="N14" s="49">
        <f>IF('Simulateur PSC MGAS'!E12&gt;0,N10+N11+N12+N13,0)</f>
        <v>17.43</v>
      </c>
      <c r="O14" s="49">
        <f>IF('Simulateur PSC MGAS'!E12&gt;0,O10+O11+O12+O13,0)</f>
        <v>19.61</v>
      </c>
      <c r="P14" s="49">
        <f>IF('Simulateur PSC MGAS'!E12&gt;0,P10+P11+P12+P13,0)</f>
        <v>11.73</v>
      </c>
      <c r="Q14" s="49">
        <f>IF('Simulateur PSC MGAS'!E12&gt;0,Q10+Q11+Q12+Q13,0)</f>
        <v>11.35</v>
      </c>
      <c r="R14" s="39" t="s">
        <v>29</v>
      </c>
    </row>
    <row r="15" spans="1:18" ht="28.8" x14ac:dyDescent="0.3">
      <c r="D15" s="16"/>
      <c r="F15" s="9" t="s">
        <v>14</v>
      </c>
      <c r="G15" s="30">
        <v>6.18</v>
      </c>
      <c r="H15" s="30">
        <v>5.85</v>
      </c>
      <c r="I15" s="30">
        <v>3.09</v>
      </c>
      <c r="J15" s="30">
        <v>2.91</v>
      </c>
      <c r="K15" s="15" t="s">
        <v>10</v>
      </c>
      <c r="O15" s="29"/>
      <c r="R15" s="15"/>
    </row>
    <row r="16" spans="1:18" ht="28.8" x14ac:dyDescent="0.3">
      <c r="D16" s="16"/>
      <c r="F16" s="9" t="s">
        <v>31</v>
      </c>
      <c r="G16" s="30">
        <f>1.03+0.26</f>
        <v>1.29</v>
      </c>
      <c r="H16" s="30">
        <f>0.97+0.24</f>
        <v>1.21</v>
      </c>
      <c r="I16" s="30">
        <f>0.51+0.13</f>
        <v>0.64</v>
      </c>
      <c r="J16" s="30">
        <f>0.49+0.12</f>
        <v>0.61</v>
      </c>
      <c r="K16" s="15" t="s">
        <v>10</v>
      </c>
      <c r="M16" s="63" t="s">
        <v>40</v>
      </c>
      <c r="N16" s="70" t="s">
        <v>23</v>
      </c>
      <c r="O16" s="72" t="s">
        <v>24</v>
      </c>
      <c r="P16" s="74" t="s">
        <v>25</v>
      </c>
      <c r="Q16" s="76" t="s">
        <v>26</v>
      </c>
    </row>
    <row r="17" spans="4:18" ht="16.2" thickBot="1" x14ac:dyDescent="0.35">
      <c r="F17" s="10" t="s">
        <v>15</v>
      </c>
      <c r="G17" s="11">
        <f>IF('Simulateur PSC MGAS'!E12&gt;0,G$11*G$12,0)</f>
        <v>22.645</v>
      </c>
      <c r="H17" s="11"/>
      <c r="I17" s="11"/>
      <c r="J17" s="11"/>
      <c r="M17" s="63"/>
      <c r="N17" s="71"/>
      <c r="O17" s="73"/>
      <c r="P17" s="75"/>
      <c r="Q17" s="77"/>
    </row>
    <row r="18" spans="4:18" ht="15.6" customHeight="1" x14ac:dyDescent="0.3">
      <c r="D18" s="64" t="s">
        <v>16</v>
      </c>
      <c r="E18" s="65"/>
      <c r="F18" s="24" t="s">
        <v>17</v>
      </c>
      <c r="G18" s="32">
        <f>G20+G19</f>
        <v>28.558</v>
      </c>
      <c r="H18" s="12"/>
      <c r="I18" s="12"/>
      <c r="J18" s="13"/>
      <c r="M18" s="22" t="s">
        <v>9</v>
      </c>
      <c r="N18" s="19">
        <v>26</v>
      </c>
      <c r="O18" s="19">
        <v>29.24</v>
      </c>
      <c r="P18" s="19">
        <v>15.26</v>
      </c>
      <c r="Q18" s="19">
        <v>16.940000000000001</v>
      </c>
      <c r="R18" s="15" t="s">
        <v>10</v>
      </c>
    </row>
    <row r="19" spans="4:18" ht="31.2" x14ac:dyDescent="0.3">
      <c r="D19" s="66"/>
      <c r="E19" s="67"/>
      <c r="F19" s="25" t="s">
        <v>18</v>
      </c>
      <c r="G19" s="30">
        <f>G11*G13</f>
        <v>9.0579999999999998</v>
      </c>
      <c r="H19" s="30"/>
      <c r="I19" s="30"/>
      <c r="J19" s="40"/>
      <c r="M19" s="9" t="s">
        <v>13</v>
      </c>
      <c r="N19" s="30">
        <v>4.16</v>
      </c>
      <c r="O19" s="30">
        <v>4.67</v>
      </c>
      <c r="P19" s="30">
        <v>2.44</v>
      </c>
      <c r="Q19" s="30">
        <v>2.71</v>
      </c>
      <c r="R19" s="15" t="s">
        <v>10</v>
      </c>
    </row>
    <row r="20" spans="4:18" ht="15.75" customHeight="1" thickBot="1" x14ac:dyDescent="0.35">
      <c r="D20" s="68"/>
      <c r="E20" s="69"/>
      <c r="F20" s="26" t="s">
        <v>19</v>
      </c>
      <c r="G20" s="37">
        <f>MIN('Simulateur PSC MGAS'!E12*G10,'Paramètres de calcul'!A2*G10)</f>
        <v>19.5</v>
      </c>
      <c r="H20" s="37"/>
      <c r="I20" s="41"/>
      <c r="J20" s="42"/>
      <c r="K20" s="38"/>
      <c r="M20" s="9" t="s">
        <v>14</v>
      </c>
      <c r="N20" s="30">
        <v>3.55</v>
      </c>
      <c r="O20" s="30">
        <v>3.99</v>
      </c>
      <c r="P20" s="30">
        <v>2.08</v>
      </c>
      <c r="Q20" s="30">
        <v>2.31</v>
      </c>
      <c r="R20" s="15" t="s">
        <v>10</v>
      </c>
    </row>
    <row r="21" spans="4:18" ht="58.2" thickBot="1" x14ac:dyDescent="0.35">
      <c r="D21" s="59" t="s">
        <v>27</v>
      </c>
      <c r="E21" s="60"/>
      <c r="F21" s="28" t="s">
        <v>28</v>
      </c>
      <c r="G21" s="45"/>
      <c r="H21" s="44">
        <f>IF('Simulateur PSC MGAS'!E14=1,'Paramètres de calcul'!H11,0)</f>
        <v>0</v>
      </c>
      <c r="I21" s="43">
        <f>MIN(I11*'Simulateur PSC MGAS'!E15,'Paramètres de calcul'!I11*2)</f>
        <v>0</v>
      </c>
      <c r="J21" s="47">
        <f>J11*'Simulateur PSC MGAS'!E16</f>
        <v>0</v>
      </c>
      <c r="K21" s="39" t="s">
        <v>29</v>
      </c>
      <c r="L21" s="23"/>
      <c r="M21" s="9" t="s">
        <v>31</v>
      </c>
      <c r="N21" s="30"/>
      <c r="O21" s="30"/>
      <c r="P21" s="30"/>
      <c r="Q21" s="30"/>
    </row>
    <row r="22" spans="4:18" ht="43.8" thickBot="1" x14ac:dyDescent="0.35">
      <c r="D22" s="61" t="s">
        <v>20</v>
      </c>
      <c r="E22" s="62"/>
      <c r="F22" s="27" t="s">
        <v>30</v>
      </c>
      <c r="G22" s="46">
        <f>G16+G15+G14</f>
        <v>14.71</v>
      </c>
      <c r="H22" s="43">
        <f>(H16+H15+H14)*'Simulateur PSC MGAS'!E14</f>
        <v>0</v>
      </c>
      <c r="I22" s="44">
        <f>MIN((I16+I15+I14)*'Simulateur PSC MGAS'!E15,(I16+I15+I14)*2)</f>
        <v>0</v>
      </c>
      <c r="J22" s="48">
        <f>((J21+J15+J14)*'Simulateur PSC MGAS'!E16)</f>
        <v>0</v>
      </c>
      <c r="K22" s="38"/>
      <c r="M22" s="52" t="s">
        <v>17</v>
      </c>
      <c r="N22" s="49">
        <f>IF('Simulateur PSC MGAS'!E12&gt;0,N18+N19+N20+N21,0)</f>
        <v>33.71</v>
      </c>
      <c r="O22" s="49">
        <f>IF('Simulateur PSC MGAS'!E12&gt;0,O18+O19+O20+O21,0)</f>
        <v>37.9</v>
      </c>
      <c r="P22" s="49">
        <f>IF('Simulateur PSC MGAS'!E12&gt;0,P18+P19+P20+P21,0)</f>
        <v>19.78</v>
      </c>
      <c r="Q22" s="49">
        <f>IF('Simulateur PSC MGAS'!E12&gt;0,Q18+Q19+Q20+Q21,0)</f>
        <v>21.96</v>
      </c>
      <c r="R22" s="39" t="s">
        <v>29</v>
      </c>
    </row>
    <row r="23" spans="4:18" x14ac:dyDescent="0.3">
      <c r="D23" s="36"/>
      <c r="E23" s="36"/>
      <c r="F23" s="29"/>
      <c r="H23" s="29"/>
      <c r="I23" s="29"/>
      <c r="J23" s="29"/>
    </row>
    <row r="24" spans="4:18" ht="15.75" customHeight="1" x14ac:dyDescent="0.3">
      <c r="D24" s="15"/>
      <c r="K24" s="34" t="s">
        <v>32</v>
      </c>
    </row>
    <row r="25" spans="4:18" ht="31.2" x14ac:dyDescent="0.3">
      <c r="D25" s="15"/>
      <c r="F25" s="14" t="s">
        <v>44</v>
      </c>
      <c r="G25" s="31">
        <f>IF('Simulateur PSC MGAS'!E12&gt;0,G17+G18+G22,0)</f>
        <v>65.913000000000011</v>
      </c>
      <c r="H25" s="33">
        <f>IF('Simulateur PSC MGAS'!E12,H21+H22,0)</f>
        <v>0</v>
      </c>
      <c r="I25" s="33">
        <f>IF('Simulateur PSC MGAS'!E12&gt;0,I21+I22,0)</f>
        <v>0</v>
      </c>
      <c r="J25" s="33">
        <f>IF('Simulateur PSC MGAS'!E12&gt;0,J21+J22,0)</f>
        <v>0</v>
      </c>
      <c r="K25" s="31">
        <f>G25+H25+I25+J25</f>
        <v>65.913000000000011</v>
      </c>
    </row>
    <row r="26" spans="4:18" x14ac:dyDescent="0.3">
      <c r="D26" s="15"/>
      <c r="F26" s="15" t="s">
        <v>21</v>
      </c>
      <c r="G26" s="31">
        <f>G25</f>
        <v>65.913000000000011</v>
      </c>
      <c r="H26" s="34"/>
      <c r="I26" s="34"/>
      <c r="J26" s="34"/>
      <c r="K26" s="31">
        <f>G26+H26+I26+J26</f>
        <v>65.913000000000011</v>
      </c>
    </row>
    <row r="27" spans="4:18" x14ac:dyDescent="0.3">
      <c r="D27" s="15"/>
      <c r="F27" s="21" t="s">
        <v>22</v>
      </c>
      <c r="G27" s="34"/>
      <c r="H27" s="33">
        <f>H25</f>
        <v>0</v>
      </c>
      <c r="I27" s="33">
        <f>I25</f>
        <v>0</v>
      </c>
      <c r="J27" s="33">
        <f>J25</f>
        <v>0</v>
      </c>
      <c r="K27" s="31">
        <f>G27+H27+I27+J27</f>
        <v>0</v>
      </c>
    </row>
    <row r="28" spans="4:18" x14ac:dyDescent="0.3">
      <c r="D28" s="15"/>
    </row>
    <row r="29" spans="4:18" x14ac:dyDescent="0.3">
      <c r="D29" s="15"/>
      <c r="K29" s="34" t="s">
        <v>32</v>
      </c>
    </row>
    <row r="30" spans="4:18" ht="31.2" x14ac:dyDescent="0.3">
      <c r="D30" s="15"/>
      <c r="F30" s="14" t="s">
        <v>41</v>
      </c>
      <c r="G30" s="53" cm="1">
        <f t="array" ref="G30">_xlfn.SWITCH('Simulateur PSC MGAS'!E18,"Sans option",G25,"Option 1",G25+N14,"Option 2",G25+N22)</f>
        <v>65.913000000000011</v>
      </c>
      <c r="H30" s="53" cm="1">
        <f t="array" ref="H30">_xlfn.SWITCH('Simulateur PSC MGAS'!E18,"Sans option",H25,"Option 1",H25+O14,"Option 2",H25+O22)</f>
        <v>0</v>
      </c>
      <c r="I30" s="53" cm="1">
        <f t="array" ref="I30">_xlfn.SWITCH('Simulateur PSC MGAS'!E18,"Sans option",I25,"Option 1",I25+P14,"Option 2",I25+P22)</f>
        <v>0</v>
      </c>
      <c r="J30" s="53" cm="1">
        <f t="array" ref="J30">_xlfn.SWITCH('Simulateur PSC MGAS'!E18,"Sans option",J25,"Option 1",J25+Q14,"Option 2",J25+Q22)</f>
        <v>0</v>
      </c>
      <c r="K30" s="31">
        <f>G30+H30+I30+J30</f>
        <v>65.913000000000011</v>
      </c>
    </row>
    <row r="31" spans="4:18" x14ac:dyDescent="0.3">
      <c r="D31" s="15"/>
      <c r="F31" s="15" t="s">
        <v>21</v>
      </c>
      <c r="G31" s="31">
        <f>G25</f>
        <v>65.913000000000011</v>
      </c>
      <c r="H31" s="34"/>
      <c r="I31" s="34"/>
      <c r="J31" s="34"/>
      <c r="K31" s="31">
        <f>G31+H31+I31+J31</f>
        <v>65.913000000000011</v>
      </c>
    </row>
    <row r="32" spans="4:18" x14ac:dyDescent="0.3">
      <c r="D32" s="15"/>
      <c r="F32" s="21" t="s">
        <v>22</v>
      </c>
      <c r="G32" s="31">
        <f>G30-G31</f>
        <v>0</v>
      </c>
      <c r="H32" s="33">
        <f>H30</f>
        <v>0</v>
      </c>
      <c r="I32" s="33">
        <f>I30</f>
        <v>0</v>
      </c>
      <c r="J32" s="33">
        <f>J30</f>
        <v>0</v>
      </c>
      <c r="K32" s="31">
        <f>G32+H32+I32+J32</f>
        <v>0</v>
      </c>
    </row>
    <row r="33" spans="4:4" x14ac:dyDescent="0.3">
      <c r="D33" s="15"/>
    </row>
    <row r="34" spans="4:4" x14ac:dyDescent="0.3">
      <c r="D34" s="15"/>
    </row>
    <row r="35" spans="4:4" x14ac:dyDescent="0.3">
      <c r="D35" s="15"/>
    </row>
    <row r="36" spans="4:4" x14ac:dyDescent="0.3">
      <c r="D36" s="15"/>
    </row>
  </sheetData>
  <mergeCells count="18">
    <mergeCell ref="M16:M17"/>
    <mergeCell ref="N16:N17"/>
    <mergeCell ref="O16:O17"/>
    <mergeCell ref="P16:P17"/>
    <mergeCell ref="Q16:Q17"/>
    <mergeCell ref="O8:O9"/>
    <mergeCell ref="P8:P9"/>
    <mergeCell ref="Q8:Q9"/>
    <mergeCell ref="H8:H9"/>
    <mergeCell ref="I8:I9"/>
    <mergeCell ref="J8:J9"/>
    <mergeCell ref="M8:M9"/>
    <mergeCell ref="N8:N9"/>
    <mergeCell ref="D21:E21"/>
    <mergeCell ref="D22:E22"/>
    <mergeCell ref="F8:F9"/>
    <mergeCell ref="D18:E20"/>
    <mergeCell ref="G8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Simulateur PSC MGAS</vt:lpstr>
      <vt:lpstr>Paramètres de 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GARNIER Valère</dc:creator>
  <cp:lastModifiedBy>LE GAL Carole</cp:lastModifiedBy>
  <dcterms:created xsi:type="dcterms:W3CDTF">2024-04-04T08:11:07Z</dcterms:created>
  <dcterms:modified xsi:type="dcterms:W3CDTF">2024-08-07T14:38:37Z</dcterms:modified>
</cp:coreProperties>
</file>